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1" documentId="13_ncr:1_{C8EBF1CF-DE2E-4A38-996B-29188BCE9BC9}" xr6:coauthVersionLast="47" xr6:coauthVersionMax="47" xr10:uidLastSave="{4CA818FF-9B16-489A-8046-C788939EA80B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rfer">Sheet1!$A:$A</definedName>
  </definedNames>
  <calcPr calcId="181029"/>
</workbook>
</file>

<file path=xl/calcChain.xml><?xml version="1.0" encoding="utf-8"?>
<calcChain xmlns="http://schemas.openxmlformats.org/spreadsheetml/2006/main">
  <c r="T6" i="1" l="1"/>
  <c r="T5" i="1"/>
  <c r="T4" i="1"/>
  <c r="T3" i="1"/>
  <c r="T2" i="1"/>
  <c r="S6" i="1"/>
  <c r="S5" i="1"/>
  <c r="S4" i="1"/>
  <c r="S3" i="1"/>
  <c r="S2" i="1"/>
  <c r="Q6" i="1"/>
  <c r="Q5" i="1"/>
  <c r="Q4" i="1"/>
  <c r="R4" i="1" s="1"/>
  <c r="Q3" i="1"/>
  <c r="Q2" i="1"/>
  <c r="B7" i="1"/>
  <c r="C7" i="1"/>
  <c r="D7" i="1"/>
  <c r="F7" i="1"/>
  <c r="I7" i="1"/>
  <c r="J7" i="1"/>
  <c r="R3" i="1"/>
  <c r="H6" i="1"/>
  <c r="H5" i="1"/>
  <c r="H4" i="1"/>
  <c r="H3" i="1"/>
  <c r="H2" i="1"/>
  <c r="H7" i="1" s="1"/>
  <c r="E6" i="1"/>
  <c r="E5" i="1"/>
  <c r="N5" i="1" s="1"/>
  <c r="E4" i="1"/>
  <c r="M4" i="1" s="1"/>
  <c r="E3" i="1"/>
  <c r="M3" i="1" s="1"/>
  <c r="E2" i="1"/>
  <c r="K2" i="1" s="1"/>
  <c r="E7" i="1" l="1"/>
  <c r="L6" i="1"/>
  <c r="N3" i="1"/>
  <c r="N4" i="1"/>
  <c r="L3" i="1"/>
  <c r="O3" i="1" s="1"/>
  <c r="M2" i="1"/>
  <c r="L5" i="1"/>
  <c r="N2" i="1"/>
  <c r="N6" i="1"/>
  <c r="N7" i="1" s="1"/>
  <c r="M6" i="1"/>
  <c r="L4" i="1"/>
  <c r="O4" i="1" s="1"/>
  <c r="K3" i="1"/>
  <c r="L2" i="1"/>
  <c r="K5" i="1"/>
  <c r="M5" i="1"/>
  <c r="K6" i="1"/>
  <c r="K4" i="1"/>
  <c r="K7" i="1" l="1"/>
  <c r="R5" i="1"/>
  <c r="M7" i="1"/>
  <c r="T7" i="1"/>
  <c r="O2" i="1"/>
  <c r="L7" i="1"/>
  <c r="O5" i="1"/>
  <c r="O6" i="1"/>
  <c r="P3" i="1"/>
  <c r="S7" i="1" l="1"/>
  <c r="T9" i="1" s="1"/>
  <c r="Q7" i="1"/>
  <c r="O7" i="1"/>
  <c r="P2" i="1"/>
  <c r="P7" i="1" s="1"/>
  <c r="R2" i="1"/>
  <c r="P6" i="1"/>
  <c r="R6" i="1" s="1"/>
  <c r="P4" i="1"/>
  <c r="T10" i="1" l="1"/>
  <c r="R7" i="1"/>
</calcChain>
</file>

<file path=xl/sharedStrings.xml><?xml version="1.0" encoding="utf-8"?>
<sst xmlns="http://schemas.openxmlformats.org/spreadsheetml/2006/main" count="31" uniqueCount="31">
  <si>
    <t>نام پرسنل</t>
  </si>
  <si>
    <t>دستمزد روزانه</t>
  </si>
  <si>
    <t>روزهای کارکرد</t>
  </si>
  <si>
    <t>دستمزد ماهیانه</t>
  </si>
  <si>
    <t>جمع حقوق و مزایا</t>
  </si>
  <si>
    <t>مشمول مالیات</t>
  </si>
  <si>
    <t>مالیات</t>
  </si>
  <si>
    <t>بیمه 7% سهم کارگر</t>
  </si>
  <si>
    <t>بیمه 3% بیکاری</t>
  </si>
  <si>
    <t>بیمه 20% سهم کارفرما</t>
  </si>
  <si>
    <t>حقوق پرداختی</t>
  </si>
  <si>
    <t>جمع</t>
  </si>
  <si>
    <t>جمع بیمه سهم کارفرما</t>
  </si>
  <si>
    <t>جمع کل بیمه پرداختی</t>
  </si>
  <si>
    <t>ساعت کسر کار</t>
  </si>
  <si>
    <t>جمع کل مزایای مشمول</t>
  </si>
  <si>
    <t>مشمول</t>
  </si>
  <si>
    <t>مشمول و غیرمشمول</t>
  </si>
  <si>
    <t>پرسنل 1</t>
  </si>
  <si>
    <t>پرسنل 2</t>
  </si>
  <si>
    <t>پرسنل 3</t>
  </si>
  <si>
    <t>پرسنل 4</t>
  </si>
  <si>
    <t>پرسنل 5</t>
  </si>
  <si>
    <t>مسکن و خواربار (مزایای مشمول)</t>
  </si>
  <si>
    <t>تعداد اولاد مشمول</t>
  </si>
  <si>
    <t>ساعت اضافه کار</t>
  </si>
  <si>
    <t>مبلغ اضافه کاری</t>
  </si>
  <si>
    <t>حق اولاد (غیر مشمول)</t>
  </si>
  <si>
    <t>پایه سنو.ات روزانه</t>
  </si>
  <si>
    <t>بر اساس حداقل دستمزد روزانه سال 1401</t>
  </si>
  <si>
    <t>کسر کار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</si>
</sst>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rgb="FFFA7D00"/>
      <name val="Arial"/>
      <family val="2"/>
      <charset val="178"/>
      <scheme val="minor"/>
    </font>
    <font>
      <sz val="11"/>
      <color theme="1"/>
      <name val="B Nazanin"/>
      <charset val="178"/>
    </font>
    <font>
      <sz val="11"/>
      <name val="B Nazanin"/>
      <charset val="178"/>
    </font>
    <font>
      <b/>
      <sz val="11"/>
      <color rgb="FF3F3F76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2" applyNumberFormat="0" applyFont="0" applyAlignment="0" applyProtection="0"/>
    <xf numFmtId="0" fontId="5" fillId="6" borderId="1" applyNumberFormat="0" applyAlignment="0" applyProtection="0"/>
  </cellStyleXfs>
  <cellXfs count="27">
    <xf numFmtId="0" fontId="0" fillId="0" borderId="0" xfId="0"/>
    <xf numFmtId="0" fontId="6" fillId="0" borderId="0" xfId="0" applyFont="1" applyAlignment="1">
      <alignment horizontal="right" readingOrder="2"/>
    </xf>
    <xf numFmtId="164" fontId="6" fillId="0" borderId="0" xfId="0" applyNumberFormat="1" applyFont="1" applyAlignment="1">
      <alignment horizontal="right" readingOrder="2"/>
    </xf>
    <xf numFmtId="0" fontId="6" fillId="5" borderId="2" xfId="4" applyFont="1" applyAlignment="1">
      <alignment horizontal="right" readingOrder="2"/>
    </xf>
    <xf numFmtId="164" fontId="6" fillId="2" borderId="2" xfId="1" applyNumberFormat="1" applyFont="1" applyBorder="1" applyAlignment="1">
      <alignment horizontal="right" readingOrder="2"/>
    </xf>
    <xf numFmtId="164" fontId="7" fillId="3" borderId="2" xfId="2" applyNumberFormat="1" applyFont="1" applyBorder="1" applyAlignment="1">
      <alignment horizontal="right" readingOrder="2"/>
    </xf>
    <xf numFmtId="0" fontId="6" fillId="0" borderId="0" xfId="0" applyFont="1" applyAlignment="1">
      <alignment horizontal="left"/>
    </xf>
    <xf numFmtId="164" fontId="6" fillId="5" borderId="2" xfId="4" applyNumberFormat="1" applyFont="1" applyAlignment="1">
      <alignment horizontal="right" readingOrder="2"/>
    </xf>
    <xf numFmtId="0" fontId="6" fillId="0" borderId="0" xfId="0" applyFont="1" applyAlignment="1">
      <alignment horizontal="left" readingOrder="1"/>
    </xf>
    <xf numFmtId="164" fontId="8" fillId="4" borderId="1" xfId="3" applyNumberFormat="1" applyFont="1" applyAlignment="1">
      <alignment horizontal="right" readingOrder="2"/>
    </xf>
    <xf numFmtId="0" fontId="9" fillId="0" borderId="0" xfId="0" applyFont="1" applyAlignment="1">
      <alignment horizontal="right" readingOrder="2"/>
    </xf>
    <xf numFmtId="164" fontId="9" fillId="0" borderId="0" xfId="0" applyNumberFormat="1" applyFont="1" applyAlignment="1">
      <alignment horizontal="right" readingOrder="2"/>
    </xf>
    <xf numFmtId="0" fontId="9" fillId="5" borderId="2" xfId="4" applyFont="1" applyAlignment="1">
      <alignment horizontal="right" readingOrder="2"/>
    </xf>
    <xf numFmtId="164" fontId="9" fillId="2" borderId="2" xfId="1" applyNumberFormat="1" applyFont="1" applyBorder="1" applyAlignment="1">
      <alignment horizontal="right" readingOrder="2"/>
    </xf>
    <xf numFmtId="3" fontId="9" fillId="5" borderId="2" xfId="4" applyNumberFormat="1" applyFont="1" applyAlignment="1">
      <alignment horizontal="right" readingOrder="2"/>
    </xf>
    <xf numFmtId="0" fontId="6" fillId="0" borderId="0" xfId="0" applyFont="1" applyAlignment="1">
      <alignment horizontal="center" readingOrder="2"/>
    </xf>
    <xf numFmtId="164" fontId="10" fillId="6" borderId="1" xfId="5" applyNumberFormat="1" applyFont="1" applyAlignment="1">
      <alignment horizontal="right" readingOrder="2"/>
    </xf>
    <xf numFmtId="164" fontId="10" fillId="7" borderId="1" xfId="5" applyNumberFormat="1" applyFont="1" applyFill="1" applyAlignment="1">
      <alignment horizontal="right" readingOrder="2"/>
    </xf>
    <xf numFmtId="0" fontId="9" fillId="7" borderId="0" xfId="0" applyFont="1" applyFill="1" applyAlignment="1">
      <alignment horizontal="right" readingOrder="2"/>
    </xf>
    <xf numFmtId="164" fontId="9" fillId="7" borderId="0" xfId="0" applyNumberFormat="1" applyFont="1" applyFill="1" applyAlignment="1">
      <alignment horizontal="right" readingOrder="2"/>
    </xf>
    <xf numFmtId="164" fontId="9" fillId="7" borderId="2" xfId="4" applyNumberFormat="1" applyFont="1" applyFill="1" applyAlignment="1">
      <alignment horizontal="right" readingOrder="2"/>
    </xf>
    <xf numFmtId="164" fontId="9" fillId="7" borderId="2" xfId="1" applyNumberFormat="1" applyFont="1" applyFill="1" applyBorder="1" applyAlignment="1">
      <alignment horizontal="right" readingOrder="2"/>
    </xf>
    <xf numFmtId="164" fontId="10" fillId="7" borderId="2" xfId="2" applyNumberFormat="1" applyFont="1" applyFill="1" applyBorder="1" applyAlignment="1">
      <alignment horizontal="right" readingOrder="2"/>
    </xf>
    <xf numFmtId="0" fontId="9" fillId="7" borderId="0" xfId="0" applyFont="1" applyFill="1" applyAlignment="1">
      <alignment horizontal="left"/>
    </xf>
    <xf numFmtId="164" fontId="10" fillId="3" borderId="2" xfId="2" applyNumberFormat="1" applyFont="1" applyBorder="1" applyAlignment="1">
      <alignment horizontal="right" readingOrder="2"/>
    </xf>
    <xf numFmtId="0" fontId="9" fillId="0" borderId="0" xfId="0" applyFont="1" applyAlignment="1">
      <alignment horizontal="left"/>
    </xf>
    <xf numFmtId="164" fontId="7" fillId="6" borderId="1" xfId="5" applyNumberFormat="1" applyFont="1" applyAlignment="1">
      <alignment horizontal="right" readingOrder="2"/>
    </xf>
  </cellXfs>
  <cellStyles count="6">
    <cellStyle name="20% - Accent5" xfId="1" builtinId="46"/>
    <cellStyle name="Calculation" xfId="5" builtinId="22"/>
    <cellStyle name="Good" xfId="2" builtinId="26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Light16"/>
  <colors>
    <mruColors>
      <color rgb="FFE3F3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rightToLeft="1" tabSelected="1" topLeftCell="H1" workbookViewId="0">
      <selection activeCell="T7" sqref="T7"/>
    </sheetView>
  </sheetViews>
  <sheetFormatPr defaultColWidth="9" defaultRowHeight="19.5" x14ac:dyDescent="0.5"/>
  <cols>
    <col min="1" max="1" width="12.125" style="1" customWidth="1"/>
    <col min="2" max="3" width="9.25" style="2" customWidth="1"/>
    <col min="4" max="4" width="10.625" style="1" customWidth="1"/>
    <col min="5" max="5" width="10.875" style="2" customWidth="1"/>
    <col min="6" max="9" width="13.125" style="2" customWidth="1"/>
    <col min="10" max="10" width="10.25" style="1" customWidth="1"/>
    <col min="11" max="11" width="16.375" style="3" customWidth="1"/>
    <col min="12" max="12" width="14" style="4" customWidth="1"/>
    <col min="13" max="14" width="11.75" style="16" customWidth="1"/>
    <col min="15" max="15" width="12.5" style="1" customWidth="1"/>
    <col min="16" max="16" width="10.625" style="1" customWidth="1"/>
    <col min="17" max="17" width="14.125" style="2" customWidth="1"/>
    <col min="18" max="18" width="16" style="5" customWidth="1"/>
    <col min="19" max="19" width="10" style="2" customWidth="1"/>
    <col min="20" max="20" width="16.875" style="2" customWidth="1"/>
    <col min="21" max="16384" width="9" style="6"/>
  </cols>
  <sheetData>
    <row r="1" spans="1:20" s="25" customFormat="1" x14ac:dyDescent="0.5">
      <c r="A1" s="10" t="s">
        <v>0</v>
      </c>
      <c r="B1" s="11" t="s">
        <v>1</v>
      </c>
      <c r="C1" s="11" t="s">
        <v>28</v>
      </c>
      <c r="D1" s="10" t="s">
        <v>2</v>
      </c>
      <c r="E1" s="11" t="s">
        <v>3</v>
      </c>
      <c r="F1" s="11" t="s">
        <v>23</v>
      </c>
      <c r="G1" s="11" t="s">
        <v>24</v>
      </c>
      <c r="H1" s="11" t="s">
        <v>27</v>
      </c>
      <c r="I1" s="11" t="s">
        <v>25</v>
      </c>
      <c r="J1" s="10" t="s">
        <v>14</v>
      </c>
      <c r="K1" s="12" t="s">
        <v>15</v>
      </c>
      <c r="L1" s="13" t="s">
        <v>4</v>
      </c>
      <c r="M1" s="16" t="s">
        <v>26</v>
      </c>
      <c r="N1" s="16" t="s">
        <v>30</v>
      </c>
      <c r="O1" s="10" t="s">
        <v>5</v>
      </c>
      <c r="P1" s="10" t="s">
        <v>6</v>
      </c>
      <c r="Q1" s="11" t="s">
        <v>7</v>
      </c>
      <c r="R1" s="24" t="s">
        <v>10</v>
      </c>
      <c r="S1" s="11" t="s">
        <v>8</v>
      </c>
      <c r="T1" s="11" t="s">
        <v>9</v>
      </c>
    </row>
    <row r="2" spans="1:20" s="8" customFormat="1" ht="18" x14ac:dyDescent="0.45">
      <c r="A2" s="1" t="s">
        <v>18</v>
      </c>
      <c r="B2" s="2">
        <v>1393250</v>
      </c>
      <c r="C2" s="2">
        <v>70000</v>
      </c>
      <c r="D2" s="1">
        <v>31</v>
      </c>
      <c r="E2" s="2">
        <f>(B2+C2)*D2</f>
        <v>45360750</v>
      </c>
      <c r="F2" s="2">
        <v>15000000</v>
      </c>
      <c r="G2" s="2">
        <v>2</v>
      </c>
      <c r="H2" s="2">
        <f>G2*4179750</f>
        <v>8359500</v>
      </c>
      <c r="I2" s="2">
        <v>10</v>
      </c>
      <c r="J2" s="1">
        <v>1</v>
      </c>
      <c r="K2" s="7">
        <f>E2+F2</f>
        <v>60360750</v>
      </c>
      <c r="L2" s="4">
        <f>(E2+F2+H2)</f>
        <v>68720250</v>
      </c>
      <c r="M2" s="26">
        <f>((E2/220)*1.4)*I2</f>
        <v>2886593.1818181816</v>
      </c>
      <c r="N2" s="26">
        <f>(J2*2*E2)/220</f>
        <v>412370.45454545453</v>
      </c>
      <c r="O2" s="1">
        <f>IF((L2+M2)&gt;56000000,(L2+M2)-56000000,0)</f>
        <v>15606843.181818187</v>
      </c>
      <c r="P2" s="1">
        <f>PRODUCT((O2*10)/100)</f>
        <v>1560684.3181818188</v>
      </c>
      <c r="Q2" s="2">
        <f>PRODUCT(((L2+M2)*7)/100)</f>
        <v>5012479.0227272734</v>
      </c>
      <c r="R2" s="5">
        <f>(L2+M2-N2)-(P2+Q2)</f>
        <v>64621309.38636364</v>
      </c>
      <c r="S2" s="2">
        <f>PRODUCT(((L2+M2)*3)/100)</f>
        <v>2148205.2954545454</v>
      </c>
      <c r="T2" s="2">
        <f>PRODUCT(((L2+M2)*20)/100)</f>
        <v>14321368.636363637</v>
      </c>
    </row>
    <row r="3" spans="1:20" ht="18" x14ac:dyDescent="0.45">
      <c r="A3" s="1" t="s">
        <v>19</v>
      </c>
      <c r="B3" s="2">
        <v>1393250</v>
      </c>
      <c r="C3" s="2">
        <v>0</v>
      </c>
      <c r="D3" s="1">
        <v>31</v>
      </c>
      <c r="E3" s="2">
        <f>(B3+C3)*D3</f>
        <v>43190750</v>
      </c>
      <c r="F3" s="2">
        <v>15000000</v>
      </c>
      <c r="G3" s="2">
        <v>1</v>
      </c>
      <c r="H3" s="2">
        <f>G3*4179750</f>
        <v>4179750</v>
      </c>
      <c r="K3" s="7">
        <f>E3+F3</f>
        <v>58190750</v>
      </c>
      <c r="L3" s="4">
        <f>(E3+F3+H3)</f>
        <v>62370500</v>
      </c>
      <c r="M3" s="26">
        <f>((E3/220)*1.4)*I3</f>
        <v>0</v>
      </c>
      <c r="N3" s="26">
        <f>(J3*2*E3)/220</f>
        <v>0</v>
      </c>
      <c r="O3" s="1">
        <f>IF((L3+M3)&gt;56000000,(L3+M3)-56000000,0)</f>
        <v>6370500</v>
      </c>
      <c r="P3" s="1">
        <f>PRODUCT((O3*10)/100)</f>
        <v>637050</v>
      </c>
      <c r="Q3" s="2">
        <f>PRODUCT(((L3+M3)*7)/100)</f>
        <v>4365935</v>
      </c>
      <c r="R3" s="5">
        <f>(L3+M3-N3)-(P3+Q3)</f>
        <v>57367515</v>
      </c>
      <c r="S3" s="2">
        <f>PRODUCT(((L3+M3)*3)/100)</f>
        <v>1871115</v>
      </c>
      <c r="T3" s="2">
        <f>PRODUCT(((L3+M3)*20)/100)</f>
        <v>12474100</v>
      </c>
    </row>
    <row r="4" spans="1:20" ht="18" x14ac:dyDescent="0.45">
      <c r="A4" s="1" t="s">
        <v>20</v>
      </c>
      <c r="B4" s="2">
        <v>1393250</v>
      </c>
      <c r="C4" s="2">
        <v>0</v>
      </c>
      <c r="D4" s="1">
        <v>31</v>
      </c>
      <c r="E4" s="2">
        <f>(B4+C4)*D4</f>
        <v>43190750</v>
      </c>
      <c r="F4" s="2">
        <v>15000000</v>
      </c>
      <c r="H4" s="2">
        <f>G4*4179750</f>
        <v>0</v>
      </c>
      <c r="J4" s="1">
        <v>0</v>
      </c>
      <c r="K4" s="7">
        <f>E4+F4</f>
        <v>58190750</v>
      </c>
      <c r="L4" s="4">
        <f>(E4+F4+H4)</f>
        <v>58190750</v>
      </c>
      <c r="M4" s="26">
        <f>((E4/220)*1.4)*I4</f>
        <v>0</v>
      </c>
      <c r="N4" s="26">
        <f>(J4*2*E4)/220</f>
        <v>0</v>
      </c>
      <c r="O4" s="1">
        <f>IF((L4+M4)&gt;56000000,(L4+M4)-56000000,0)</f>
        <v>2190750</v>
      </c>
      <c r="P4" s="1">
        <f>PRODUCT((O4*10)/100)</f>
        <v>219075</v>
      </c>
      <c r="Q4" s="2">
        <f>PRODUCT(((L4+M4)*7)/100)</f>
        <v>4073352.5</v>
      </c>
      <c r="R4" s="5">
        <f>(L4+M4-N4)-(P4+Q4)</f>
        <v>53898322.5</v>
      </c>
      <c r="S4" s="2">
        <f>PRODUCT(((L4+M4)*3)/100)</f>
        <v>1745722.5</v>
      </c>
      <c r="T4" s="2">
        <f>PRODUCT(((L4+M4)*20)/100)</f>
        <v>11638150</v>
      </c>
    </row>
    <row r="5" spans="1:20" ht="18" x14ac:dyDescent="0.45">
      <c r="A5" s="1" t="s">
        <v>21</v>
      </c>
      <c r="B5" s="2">
        <v>1393250</v>
      </c>
      <c r="C5" s="2">
        <v>0</v>
      </c>
      <c r="D5" s="1">
        <v>15</v>
      </c>
      <c r="E5" s="2">
        <f>(B5+C5)*D5</f>
        <v>20898750</v>
      </c>
      <c r="F5" s="2">
        <v>15000000</v>
      </c>
      <c r="H5" s="2">
        <f>G5*4179750</f>
        <v>0</v>
      </c>
      <c r="K5" s="7">
        <f>E5+F5</f>
        <v>35898750</v>
      </c>
      <c r="L5" s="4">
        <f>(E5+F5+H5)</f>
        <v>35898750</v>
      </c>
      <c r="M5" s="26">
        <f>((E5/220)*1.4)*I5</f>
        <v>0</v>
      </c>
      <c r="N5" s="26">
        <f>(J5*2*E5)/220</f>
        <v>0</v>
      </c>
      <c r="O5" s="1">
        <f>IF((L5+M5)&gt;56000000,(L5+M5)-56000000,0)</f>
        <v>0</v>
      </c>
      <c r="Q5" s="2">
        <f>PRODUCT(((L5+M5)*7)/100)</f>
        <v>2512912.5</v>
      </c>
      <c r="R5" s="5">
        <f>(L5+M5-N5)-(P5+Q5)</f>
        <v>33385837.5</v>
      </c>
      <c r="S5" s="2">
        <f>PRODUCT(((L5+M5)*3)/100)</f>
        <v>1076962.5</v>
      </c>
      <c r="T5" s="2">
        <f>PRODUCT(((L5+M5)*20)/100)</f>
        <v>7179750</v>
      </c>
    </row>
    <row r="6" spans="1:20" ht="18" x14ac:dyDescent="0.45">
      <c r="A6" s="1" t="s">
        <v>22</v>
      </c>
      <c r="B6" s="2">
        <v>1393250</v>
      </c>
      <c r="C6" s="2">
        <v>0</v>
      </c>
      <c r="D6" s="1">
        <v>15</v>
      </c>
      <c r="E6" s="2">
        <f>(B6+C6)*D6</f>
        <v>20898750</v>
      </c>
      <c r="F6" s="2">
        <v>15000000</v>
      </c>
      <c r="H6" s="2">
        <f>G6*4179750</f>
        <v>0</v>
      </c>
      <c r="I6" s="2">
        <v>1</v>
      </c>
      <c r="J6" s="1">
        <v>0</v>
      </c>
      <c r="K6" s="7">
        <f>E6+F6</f>
        <v>35898750</v>
      </c>
      <c r="L6" s="4">
        <f>(E6+F6+H6)</f>
        <v>35898750</v>
      </c>
      <c r="M6" s="26">
        <f>((E6/220)*1.4)*I6</f>
        <v>132992.04545454544</v>
      </c>
      <c r="N6" s="26">
        <f>(J6*2*E6)/220</f>
        <v>0</v>
      </c>
      <c r="O6" s="1">
        <f>IF((L6+M6)&gt;56000000,(L6+M6)-56000000,0)</f>
        <v>0</v>
      </c>
      <c r="P6" s="1">
        <f>PRODUCT((O6*10)/100)</f>
        <v>0</v>
      </c>
      <c r="Q6" s="2">
        <f>PRODUCT(((L6+M6)*7)/100)</f>
        <v>2522221.9431818184</v>
      </c>
      <c r="R6" s="5">
        <f>(L6+M6-N6)-(P6+Q6)</f>
        <v>33509520.102272727</v>
      </c>
      <c r="S6" s="2">
        <f>PRODUCT(((L6+M6)*3)/100)</f>
        <v>1080952.2613636365</v>
      </c>
      <c r="T6" s="2">
        <f>PRODUCT(((L6+M6)*20)/100)</f>
        <v>7206348.4090909101</v>
      </c>
    </row>
    <row r="7" spans="1:20" s="23" customFormat="1" x14ac:dyDescent="0.5">
      <c r="A7" s="18" t="s">
        <v>11</v>
      </c>
      <c r="B7" s="19">
        <f>SUM(B2:B6)</f>
        <v>6966250</v>
      </c>
      <c r="C7" s="19">
        <f>SUM(C2:C6)</f>
        <v>70000</v>
      </c>
      <c r="D7" s="18">
        <f>SUM(D2:D6)</f>
        <v>123</v>
      </c>
      <c r="E7" s="19">
        <f>SUM(E2:E6)</f>
        <v>173539750</v>
      </c>
      <c r="F7" s="19">
        <f>SUM(F2:F6)</f>
        <v>75000000</v>
      </c>
      <c r="G7" s="19"/>
      <c r="H7" s="19">
        <f t="shared" ref="H7:T7" si="0">SUM(H2:H6)</f>
        <v>12539250</v>
      </c>
      <c r="I7" s="19">
        <f t="shared" si="0"/>
        <v>11</v>
      </c>
      <c r="J7" s="18">
        <f t="shared" si="0"/>
        <v>1</v>
      </c>
      <c r="K7" s="20">
        <f t="shared" si="0"/>
        <v>248539750</v>
      </c>
      <c r="L7" s="21">
        <f t="shared" si="0"/>
        <v>261079000</v>
      </c>
      <c r="M7" s="17">
        <f t="shared" si="0"/>
        <v>3019585.2272727271</v>
      </c>
      <c r="N7" s="17">
        <f t="shared" si="0"/>
        <v>412370.45454545453</v>
      </c>
      <c r="O7" s="18">
        <f t="shared" si="0"/>
        <v>24168093.181818187</v>
      </c>
      <c r="P7" s="18">
        <f t="shared" si="0"/>
        <v>2416809.3181818188</v>
      </c>
      <c r="Q7" s="19">
        <f t="shared" si="0"/>
        <v>18486900.965909094</v>
      </c>
      <c r="R7" s="22">
        <f t="shared" si="0"/>
        <v>242782504.48863634</v>
      </c>
      <c r="S7" s="19">
        <f t="shared" si="0"/>
        <v>7922957.5568181816</v>
      </c>
      <c r="T7" s="19">
        <f t="shared" si="0"/>
        <v>52819717.045454547</v>
      </c>
    </row>
    <row r="8" spans="1:20" x14ac:dyDescent="0.5">
      <c r="A8" s="10"/>
      <c r="B8" s="11" t="s">
        <v>29</v>
      </c>
      <c r="C8" s="11"/>
      <c r="D8" s="10"/>
      <c r="E8" s="11"/>
      <c r="F8" s="11"/>
      <c r="G8" s="11"/>
      <c r="H8" s="11"/>
      <c r="I8" s="11"/>
      <c r="J8" s="10"/>
      <c r="K8" s="12" t="s">
        <v>16</v>
      </c>
      <c r="L8" s="13" t="s">
        <v>17</v>
      </c>
    </row>
    <row r="9" spans="1:20" x14ac:dyDescent="0.5">
      <c r="R9" s="9" t="s">
        <v>12</v>
      </c>
      <c r="T9" s="9">
        <f>S7+T7</f>
        <v>60742674.602272727</v>
      </c>
    </row>
    <row r="10" spans="1:20" x14ac:dyDescent="0.5">
      <c r="J10" s="15"/>
      <c r="K10" s="14"/>
      <c r="R10" s="9" t="s">
        <v>13</v>
      </c>
      <c r="T10" s="9">
        <f>Q7+S7+T7</f>
        <v>79229575.568181813</v>
      </c>
    </row>
    <row r="12" spans="1:20" x14ac:dyDescent="0.5">
      <c r="L12" s="13"/>
    </row>
    <row r="16" spans="1:20" x14ac:dyDescent="0.5">
      <c r="K16" s="12"/>
      <c r="L16" s="13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rfer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2023-02-25T07:06:58Z</dcterms:modified>
</cp:coreProperties>
</file>